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"/>
    </mc:Choice>
  </mc:AlternateContent>
  <bookViews>
    <workbookView xWindow="0" yWindow="0" windowWidth="28800" windowHeight="11715"/>
  </bookViews>
  <sheets>
    <sheet name="CUADRO " sheetId="2" r:id="rId1"/>
  </sheets>
  <definedNames>
    <definedName name="_xlnm.Print_Area" localSheetId="0">'CUADRO '!$A$1:$F$88</definedName>
    <definedName name="_xlnm.Print_Titles" localSheetId="0">'CUADRO 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" l="1"/>
  <c r="C86" i="2"/>
  <c r="E85" i="2"/>
  <c r="C85" i="2"/>
  <c r="E83" i="2"/>
  <c r="E82" i="2" l="1"/>
  <c r="C82" i="2"/>
  <c r="E80" i="2"/>
  <c r="C80" i="2"/>
  <c r="E79" i="2"/>
  <c r="C79" i="2"/>
  <c r="E78" i="2"/>
  <c r="C78" i="2"/>
  <c r="E77" i="2"/>
  <c r="C75" i="2"/>
  <c r="E74" i="2"/>
  <c r="E72" i="2"/>
  <c r="E70" i="2"/>
  <c r="E68" i="2"/>
  <c r="E67" i="2"/>
  <c r="E66" i="2"/>
  <c r="C66" i="2"/>
  <c r="E64" i="2"/>
  <c r="C63" i="2"/>
  <c r="C62" i="2"/>
  <c r="E61" i="2"/>
  <c r="C60" i="2"/>
  <c r="E59" i="2"/>
  <c r="C59" i="2"/>
  <c r="C55" i="2"/>
  <c r="E54" i="2"/>
  <c r="C54" i="2"/>
  <c r="E52" i="2"/>
  <c r="C52" i="2"/>
  <c r="C51" i="2"/>
  <c r="C49" i="2"/>
  <c r="C47" i="2"/>
  <c r="C46" i="2"/>
  <c r="C45" i="2"/>
  <c r="C44" i="2" l="1"/>
  <c r="C43" i="2"/>
  <c r="C42" i="2"/>
  <c r="E39" i="2"/>
  <c r="E34" i="2"/>
  <c r="C34" i="2"/>
  <c r="C33" i="2"/>
  <c r="E30" i="2"/>
  <c r="E28" i="2"/>
  <c r="C28" i="2"/>
  <c r="E26" i="2"/>
  <c r="E25" i="2"/>
  <c r="C25" i="2"/>
  <c r="C24" i="2"/>
  <c r="E22" i="2"/>
  <c r="C22" i="2"/>
  <c r="E20" i="2"/>
  <c r="E21" i="2"/>
  <c r="C21" i="2"/>
  <c r="C19" i="2"/>
  <c r="E18" i="2"/>
  <c r="C18" i="2"/>
  <c r="E17" i="2"/>
  <c r="C17" i="2"/>
  <c r="E16" i="2"/>
  <c r="C16" i="2"/>
  <c r="E15" i="2"/>
  <c r="E14" i="2"/>
  <c r="C14" i="2"/>
  <c r="E13" i="2"/>
  <c r="E12" i="2"/>
  <c r="C12" i="2"/>
  <c r="C11" i="2"/>
  <c r="E11" i="2"/>
  <c r="E10" i="2"/>
  <c r="C10" i="2"/>
  <c r="E9" i="2"/>
  <c r="C87" i="2" l="1"/>
  <c r="C71" i="2"/>
  <c r="C70" i="2"/>
  <c r="E53" i="2"/>
  <c r="C48" i="2"/>
  <c r="E43" i="2"/>
  <c r="C26" i="2"/>
  <c r="C23" i="2"/>
  <c r="F85" i="2" l="1"/>
  <c r="F86" i="2"/>
  <c r="C15" i="2"/>
  <c r="F84" i="2" l="1"/>
  <c r="F83" i="2" l="1"/>
  <c r="F81" i="2"/>
  <c r="D88" i="2" l="1"/>
  <c r="F82" i="2" l="1"/>
  <c r="C88" i="2" l="1"/>
  <c r="E88" i="2" l="1"/>
  <c r="F80" i="2"/>
  <c r="F79" i="2"/>
  <c r="F19" i="2" l="1"/>
  <c r="F18" i="2"/>
  <c r="F78" i="2" l="1"/>
  <c r="B88" i="2"/>
  <c r="F77" i="2" l="1"/>
  <c r="F74" i="2"/>
  <c r="F73" i="2"/>
  <c r="F72" i="2"/>
  <c r="F71" i="2"/>
  <c r="F70" i="2"/>
  <c r="F68" i="2"/>
  <c r="F67" i="2"/>
  <c r="F66" i="2"/>
  <c r="F65" i="2"/>
  <c r="F64" i="2"/>
  <c r="F61" i="2"/>
  <c r="F59" i="2"/>
  <c r="F57" i="2"/>
  <c r="F55" i="2"/>
  <c r="F54" i="2"/>
  <c r="F52" i="2"/>
  <c r="F50" i="2"/>
  <c r="F48" i="2"/>
  <c r="F47" i="2"/>
  <c r="F43" i="2"/>
  <c r="F42" i="2"/>
  <c r="F39" i="2"/>
  <c r="F31" i="2"/>
  <c r="F30" i="2"/>
  <c r="F29" i="2"/>
  <c r="F28" i="2"/>
  <c r="F27" i="2"/>
  <c r="F23" i="2"/>
  <c r="F20" i="2"/>
  <c r="F17" i="2"/>
  <c r="F15" i="2"/>
  <c r="F14" i="2"/>
  <c r="F13" i="2"/>
  <c r="F10" i="2"/>
  <c r="F9" i="2"/>
  <c r="F87" i="2"/>
  <c r="F76" i="2"/>
  <c r="F75" i="2"/>
  <c r="F63" i="2"/>
  <c r="F62" i="2"/>
  <c r="F58" i="2"/>
  <c r="F56" i="2"/>
  <c r="F53" i="2"/>
  <c r="F51" i="2"/>
  <c r="F49" i="2"/>
  <c r="F46" i="2"/>
  <c r="F45" i="2"/>
  <c r="F44" i="2"/>
  <c r="F40" i="2"/>
  <c r="F38" i="2"/>
  <c r="F37" i="2"/>
  <c r="F36" i="2"/>
  <c r="F35" i="2"/>
  <c r="F33" i="2"/>
  <c r="F26" i="2"/>
  <c r="F22" i="2"/>
  <c r="F8" i="2"/>
  <c r="F7" i="2"/>
  <c r="F21" i="2" l="1"/>
  <c r="F32" i="2"/>
  <c r="F12" i="2"/>
  <c r="F24" i="2"/>
  <c r="F34" i="2"/>
  <c r="F41" i="2"/>
  <c r="F69" i="2"/>
  <c r="F25" i="2"/>
  <c r="F60" i="2"/>
  <c r="F11" i="2"/>
  <c r="F16" i="2"/>
  <c r="F88" i="2" l="1"/>
</calcChain>
</file>

<file path=xl/sharedStrings.xml><?xml version="1.0" encoding="utf-8"?>
<sst xmlns="http://schemas.openxmlformats.org/spreadsheetml/2006/main" count="92" uniqueCount="92">
  <si>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</si>
  <si>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</si>
  <si>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</si>
  <si>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</si>
  <si>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</si>
  <si>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</si>
  <si>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</si>
  <si>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</si>
  <si>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</si>
  <si>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</si>
  <si>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</si>
  <si>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</si>
  <si>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</si>
  <si>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</si>
  <si>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</si>
  <si>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</si>
  <si>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</si>
  <si>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</si>
  <si>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</si>
  <si>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</si>
  <si>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</si>
  <si>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</si>
  <si>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</si>
  <si>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</si>
  <si>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</si>
  <si>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</si>
  <si>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</si>
  <si>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</si>
  <si>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</si>
  <si>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</si>
  <si>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</si>
  <si>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</si>
  <si>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</si>
  <si>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</si>
  <si>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</si>
  <si>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</si>
  <si>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</si>
  <si>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</si>
  <si>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</si>
  <si>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</si>
  <si>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</si>
  <si>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</si>
  <si>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</si>
  <si>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</si>
  <si>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</si>
  <si>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</si>
  <si>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</si>
  <si>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</si>
  <si>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</si>
  <si>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</si>
  <si>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</si>
  <si>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</si>
  <si>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</si>
  <si>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</si>
  <si>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</si>
  <si>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</si>
  <si>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</si>
  <si>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</si>
  <si>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</si>
  <si>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</si>
  <si>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</si>
  <si>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</si>
  <si>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Casa del Adulto Mayor</t>
  </si>
  <si>
    <t>Fiscalía General del Estado de Michoacán</t>
  </si>
  <si>
    <t>Instituto de Planeación del Estado de Michoacán</t>
  </si>
  <si>
    <t>Traspasos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</si>
  <si>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</si>
  <si>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</si>
  <si>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</si>
  <si>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</si>
  <si>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</si>
  <si>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</si>
  <si>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</si>
  <si>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</si>
  <si>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</si>
  <si>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</si>
  <si>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Instituto Registral y Catastral del Estado de Michoacán de Ocampo</t>
  </si>
  <si>
    <t>Congreso del Estado de Michoacán de Ocampo</t>
  </si>
  <si>
    <t xml:space="preserve">Supremo Tribunal de Justicia </t>
  </si>
  <si>
    <t>Secretaría del Bienestar</t>
  </si>
  <si>
    <t>Secretaría de Desarrollo Urbano y Movilidad</t>
  </si>
  <si>
    <t>Secretaría de Medio Ambiente</t>
  </si>
  <si>
    <t>Servicios de Salud de Michoacán</t>
  </si>
  <si>
    <t>Ejecutivo del Estado</t>
  </si>
  <si>
    <t>Centro de Conciliación Laboral del Estado de Michoacán de Ocampo</t>
  </si>
  <si>
    <t>Secretaría de Agricultura y Desarrollo Rural</t>
  </si>
  <si>
    <t>Centro Estatal para el Desarrollo Municipal</t>
  </si>
  <si>
    <t>Consejo Económico y Social del Estado de Michoacán</t>
  </si>
  <si>
    <t>Instituto de Educación Media Superior y Superior del Estado de Michoacán</t>
  </si>
  <si>
    <t>Servicio de Administración Tributaria del Estado de Michoacán</t>
  </si>
  <si>
    <t>Instituto del Transporte del Estado de Michoacán de Ocampo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</si>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</sst>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0" fillId="0" borderId="0" xfId="0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43" fontId="6" fillId="0" borderId="0" xfId="1" applyFont="1" applyAlignment="1">
      <alignment horizontal="justify" wrapText="1"/>
    </xf>
    <xf numFmtId="43" fontId="7" fillId="0" borderId="0" xfId="0" applyNumberFormat="1" applyFont="1" applyAlignment="1">
      <alignment horizontal="justify" wrapText="1"/>
    </xf>
    <xf numFmtId="43" fontId="0" fillId="0" borderId="0" xfId="0" applyNumberFormat="1" applyAlignment="1">
      <alignment horizontal="justify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37" fontId="2" fillId="0" borderId="0" xfId="0" applyNumberFormat="1" applyFont="1" applyAlignment="1">
      <alignment horizontal="center" wrapText="1"/>
    </xf>
    <xf numFmtId="37" fontId="8" fillId="2" borderId="0" xfId="0" applyNumberFormat="1" applyFont="1" applyFill="1" applyAlignment="1">
      <alignment horizontal="center" wrapText="1"/>
    </xf>
    <xf numFmtId="37" fontId="9" fillId="3" borderId="1" xfId="0" applyNumberFormat="1" applyFont="1" applyFill="1" applyBorder="1" applyAlignment="1">
      <alignment horizontal="center" wrapText="1"/>
    </xf>
    <xf numFmtId="43" fontId="10" fillId="3" borderId="7" xfId="1" applyFont="1" applyFill="1" applyBorder="1" applyAlignment="1">
      <alignment horizontal="center" vertical="center" wrapText="1"/>
    </xf>
    <xf numFmtId="43" fontId="10" fillId="3" borderId="9" xfId="1" applyFont="1" applyFill="1" applyBorder="1" applyAlignment="1">
      <alignment horizontal="center" vertical="center" wrapText="1"/>
    </xf>
    <xf numFmtId="43" fontId="10" fillId="3" borderId="10" xfId="1" applyFont="1" applyFill="1" applyBorder="1" applyAlignment="1">
      <alignment horizontal="center" vertical="center" wrapText="1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 wrapText="1"/>
    </xf>
    <xf numFmtId="3" fontId="11" fillId="0" borderId="4" xfId="1" applyNumberFormat="1" applyFont="1" applyFill="1" applyBorder="1" applyAlignment="1">
      <alignment horizontal="justify" wrapText="1"/>
    </xf>
    <xf numFmtId="4" fontId="12" fillId="0" borderId="2" xfId="0" applyNumberFormat="1" applyFont="1" applyBorder="1" applyAlignment="1">
      <alignment horizontal="right" wrapText="1"/>
    </xf>
    <xf numFmtId="4" fontId="12" fillId="0" borderId="4" xfId="0" applyNumberFormat="1" applyFont="1" applyBorder="1" applyAlignment="1">
      <alignment horizontal="right" wrapText="1"/>
    </xf>
    <xf numFmtId="3" fontId="11" fillId="0" borderId="4" xfId="1" applyNumberFormat="1" applyFont="1" applyFill="1" applyBorder="1" applyAlignment="1">
      <alignment horizontal="left" vertical="center" wrapText="1"/>
    </xf>
    <xf numFmtId="3" fontId="11" fillId="0" borderId="4" xfId="2" applyNumberFormat="1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vertical="center" wrapText="1"/>
    </xf>
    <xf numFmtId="4" fontId="12" fillId="0" borderId="3" xfId="0" applyNumberFormat="1" applyFont="1" applyBorder="1" applyAlignment="1">
      <alignment horizontal="right"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baseColWidth="10" defaultColWidth="11.42578125" defaultRowHeight="15" x14ac:dyDescent="0.25"/>
  <cols>
    <col min="1" max="1" width="60.28515625" style="1" customWidth="1"/>
    <col min="2" max="2" width="26.28515625" style="1" bestFit="1" customWidth="1"/>
    <col min="3" max="3" width="24.7109375" style="1" bestFit="1" customWidth="1"/>
    <col min="4" max="4" width="22.42578125" style="1" bestFit="1" customWidth="1"/>
    <col min="5" max="5" width="21.85546875" style="1" bestFit="1" customWidth="1"/>
    <col min="6" max="6" width="28" style="1" bestFit="1" customWidth="1"/>
    <col min="7" max="7" width="0.85546875" style="1" customWidth="1"/>
    <col min="8" max="8" width="1.85546875" style="1" customWidth="1"/>
    <col min="9" max="16384" width="11.42578125" style="1"/>
  </cols>
  <sheetData>
    <row r="1" spans="1:6" ht="18" customHeight="1" x14ac:dyDescent="0.25">
      <c r="A1" s="8" t="s">
        <v>5</v>
      </c>
      <c r="B1" s="8"/>
      <c r="C1" s="8"/>
      <c r="D1" s="8"/>
      <c r="E1" s="8"/>
      <c r="F1" s="8"/>
    </row>
    <row r="2" spans="1:6" ht="15" customHeight="1" x14ac:dyDescent="0.25">
      <c r="A2" s="9" t="s">
        <v>54</v>
      </c>
      <c r="B2" s="9"/>
      <c r="C2" s="9"/>
      <c r="D2" s="9"/>
      <c r="E2" s="9"/>
      <c r="F2" s="9"/>
    </row>
    <row r="3" spans="1:6" ht="15" customHeight="1" x14ac:dyDescent="0.25">
      <c r="A3" s="9" t="s">
        <v>91</v>
      </c>
      <c r="B3" s="9"/>
      <c r="C3" s="9"/>
      <c r="D3" s="9"/>
      <c r="E3" s="9"/>
      <c r="F3" s="9"/>
    </row>
    <row r="4" spans="1:6" ht="6" customHeight="1" thickBot="1" x14ac:dyDescent="0.3">
      <c r="A4" s="10"/>
      <c r="B4" s="10"/>
      <c r="C4" s="10"/>
      <c r="D4" s="10"/>
      <c r="E4" s="10"/>
      <c r="F4" s="10"/>
    </row>
    <row r="5" spans="1:6" ht="18.75" thickBot="1" x14ac:dyDescent="0.3">
      <c r="A5" s="11" t="s">
        <v>53</v>
      </c>
      <c r="B5" s="12" t="s">
        <v>0</v>
      </c>
      <c r="C5" s="13"/>
      <c r="D5" s="13"/>
      <c r="E5" s="13"/>
      <c r="F5" s="14"/>
    </row>
    <row r="6" spans="1:6" ht="18.75" thickBot="1" x14ac:dyDescent="0.3">
      <c r="A6" s="15"/>
      <c r="B6" s="16" t="s">
        <v>1</v>
      </c>
      <c r="C6" s="16" t="s">
        <v>2</v>
      </c>
      <c r="D6" s="16" t="s">
        <v>3</v>
      </c>
      <c r="E6" s="16" t="s">
        <v>65</v>
      </c>
      <c r="F6" s="16" t="s">
        <v>4</v>
      </c>
    </row>
    <row r="7" spans="1:6" ht="21" hidden="1" customHeight="1" x14ac:dyDescent="0.25">
      <c r="A7" s="17" t="s">
        <v>77</v>
      </c>
      <c r="B7" s="18">
        <v>1322715433</v>
      </c>
      <c r="C7" s="18">
        <v>0</v>
      </c>
      <c r="D7" s="19">
        <v>0</v>
      </c>
      <c r="E7" s="19">
        <v>0</v>
      </c>
      <c r="F7" s="18">
        <f>B7+C7-D7+E7</f>
        <v>1322715433</v>
      </c>
    </row>
    <row r="8" spans="1:6" ht="18" hidden="1" x14ac:dyDescent="0.25">
      <c r="A8" s="17" t="s">
        <v>78</v>
      </c>
      <c r="B8" s="19">
        <v>1671869671</v>
      </c>
      <c r="C8" s="19">
        <v>0</v>
      </c>
      <c r="D8" s="19">
        <v>0</v>
      </c>
      <c r="E8" s="19">
        <v>0</v>
      </c>
      <c r="F8" s="19">
        <f t="shared" ref="F8:F64" si="0">B8+C8-D8+E8</f>
        <v>1671869671</v>
      </c>
    </row>
    <row r="9" spans="1:6" ht="18" hidden="1" x14ac:dyDescent="0.25">
      <c r="A9" s="17" t="s">
        <v>83</v>
      </c>
      <c r="B9" s="19">
        <v>330161646</v>
      </c>
      <c r="C9" s="19">
        <v>19414860</v>
      </c>
      <c r="D9" s="19">
        <v>0</v>
      </c>
      <c r="E9" s="19">
        <f>2350942.11-11207542.22</f>
        <v>-8856600.1100000013</v>
      </c>
      <c r="F9" s="19">
        <f t="shared" si="0"/>
        <v>340719905.88999999</v>
      </c>
    </row>
    <row r="10" spans="1:6" ht="18" hidden="1" x14ac:dyDescent="0.25">
      <c r="A10" s="17" t="s">
        <v>6</v>
      </c>
      <c r="B10" s="19">
        <v>916300502</v>
      </c>
      <c r="C10" s="19">
        <f>21531735.96</f>
        <v>21531735.960000001</v>
      </c>
      <c r="D10" s="19">
        <v>0</v>
      </c>
      <c r="E10" s="19">
        <f>40381904.69-53727934.81</f>
        <v>-13346030.120000005</v>
      </c>
      <c r="F10" s="19">
        <f t="shared" si="0"/>
        <v>924486207.84000003</v>
      </c>
    </row>
    <row r="11" spans="1:6" ht="18" hidden="1" x14ac:dyDescent="0.25">
      <c r="A11" s="17" t="s">
        <v>7</v>
      </c>
      <c r="B11" s="19">
        <v>1660286029</v>
      </c>
      <c r="C11" s="19">
        <f>4861079.99+2278240+8711155.1+584928.38</f>
        <v>16435403.470000001</v>
      </c>
      <c r="D11" s="19">
        <v>0</v>
      </c>
      <c r="E11" s="19">
        <f>591089638.46-144522237.48</f>
        <v>446567400.98000002</v>
      </c>
      <c r="F11" s="19">
        <f t="shared" si="0"/>
        <v>2123288833.45</v>
      </c>
    </row>
    <row r="12" spans="1:6" ht="22.5" hidden="1" customHeight="1" x14ac:dyDescent="0.25">
      <c r="A12" s="17" t="s">
        <v>8</v>
      </c>
      <c r="B12" s="19">
        <v>3592328259</v>
      </c>
      <c r="C12" s="19">
        <f>442866644.67+39478662+58804211.85+8515751.7</f>
        <v>549665270.22000003</v>
      </c>
      <c r="D12" s="19">
        <v>46846314</v>
      </c>
      <c r="E12" s="19">
        <f>201931353.96-67217742.31</f>
        <v>134713611.65000001</v>
      </c>
      <c r="F12" s="19">
        <f t="shared" si="0"/>
        <v>4229860826.8700004</v>
      </c>
    </row>
    <row r="13" spans="1:6" ht="18" hidden="1" x14ac:dyDescent="0.25">
      <c r="A13" s="17" t="s">
        <v>85</v>
      </c>
      <c r="B13" s="19">
        <v>702773561</v>
      </c>
      <c r="C13" s="19">
        <v>0</v>
      </c>
      <c r="D13" s="19">
        <v>0</v>
      </c>
      <c r="E13" s="19">
        <f>40421401.71-160387421.58</f>
        <v>-119966019.87</v>
      </c>
      <c r="F13" s="19">
        <f t="shared" si="0"/>
        <v>582807541.13</v>
      </c>
    </row>
    <row r="14" spans="1:6" ht="18" hidden="1" x14ac:dyDescent="0.25">
      <c r="A14" s="17" t="s">
        <v>9</v>
      </c>
      <c r="B14" s="19">
        <v>238074303</v>
      </c>
      <c r="C14" s="19">
        <f>500000</f>
        <v>500000</v>
      </c>
      <c r="D14" s="19">
        <v>0</v>
      </c>
      <c r="E14" s="19">
        <f>7648308.78-11059557.83</f>
        <v>-3411249.05</v>
      </c>
      <c r="F14" s="19">
        <f t="shared" si="0"/>
        <v>235163053.94999999</v>
      </c>
    </row>
    <row r="15" spans="1:6" ht="18" hidden="1" x14ac:dyDescent="0.25">
      <c r="A15" s="17" t="s">
        <v>10</v>
      </c>
      <c r="B15" s="19">
        <v>266911425</v>
      </c>
      <c r="C15" s="19">
        <f>6125611.11+25000000</f>
        <v>31125611.109999999</v>
      </c>
      <c r="D15" s="19">
        <v>0</v>
      </c>
      <c r="E15" s="19">
        <f>3539678.06-11729264.65</f>
        <v>-8189586.5899999999</v>
      </c>
      <c r="F15" s="19">
        <f t="shared" si="0"/>
        <v>289847449.52000004</v>
      </c>
    </row>
    <row r="16" spans="1:6" ht="18" hidden="1" x14ac:dyDescent="0.25">
      <c r="A16" s="17" t="s">
        <v>11</v>
      </c>
      <c r="B16" s="19">
        <v>29498373510</v>
      </c>
      <c r="C16" s="19">
        <f>400000+2560750184.01+400000</f>
        <v>2561550184.0100002</v>
      </c>
      <c r="D16" s="19">
        <v>0</v>
      </c>
      <c r="E16" s="19">
        <f>93855066.64-160899758.25</f>
        <v>-67044691.609999999</v>
      </c>
      <c r="F16" s="19">
        <f t="shared" si="0"/>
        <v>31992879002.400002</v>
      </c>
    </row>
    <row r="17" spans="1:6" ht="18" hidden="1" x14ac:dyDescent="0.25">
      <c r="A17" s="17" t="s">
        <v>12</v>
      </c>
      <c r="B17" s="19">
        <v>45717973</v>
      </c>
      <c r="C17" s="19">
        <f>1125844.72</f>
        <v>1125844.72</v>
      </c>
      <c r="D17" s="19">
        <v>0</v>
      </c>
      <c r="E17" s="19">
        <f>81084.65-2508047.26</f>
        <v>-2426962.61</v>
      </c>
      <c r="F17" s="19">
        <f t="shared" si="0"/>
        <v>44416855.109999999</v>
      </c>
    </row>
    <row r="18" spans="1:6" ht="18" hidden="1" x14ac:dyDescent="0.25">
      <c r="A18" s="17" t="s">
        <v>13</v>
      </c>
      <c r="B18" s="19">
        <v>4034684191</v>
      </c>
      <c r="C18" s="19">
        <f>81851258.95</f>
        <v>81851258.950000003</v>
      </c>
      <c r="D18" s="19">
        <v>0</v>
      </c>
      <c r="E18" s="19">
        <f>328562897.27-70282756.12</f>
        <v>258280141.14999998</v>
      </c>
      <c r="F18" s="19">
        <f t="shared" si="0"/>
        <v>4374815591.0999994</v>
      </c>
    </row>
    <row r="19" spans="1:6" ht="18" hidden="1" x14ac:dyDescent="0.25">
      <c r="A19" s="17" t="s">
        <v>82</v>
      </c>
      <c r="B19" s="19">
        <v>9360204179</v>
      </c>
      <c r="C19" s="19">
        <f>931023010.57+188925793.7</f>
        <v>1119948804.27</v>
      </c>
      <c r="D19" s="19">
        <v>0</v>
      </c>
      <c r="E19" s="19">
        <v>0</v>
      </c>
      <c r="F19" s="19">
        <f t="shared" si="0"/>
        <v>10480152983.27</v>
      </c>
    </row>
    <row r="20" spans="1:6" ht="18" hidden="1" x14ac:dyDescent="0.25">
      <c r="A20" s="17" t="s">
        <v>14</v>
      </c>
      <c r="B20" s="19">
        <v>173929965</v>
      </c>
      <c r="C20" s="19">
        <v>0</v>
      </c>
      <c r="D20" s="19">
        <v>0</v>
      </c>
      <c r="E20" s="19">
        <f>132500-1780172.6</f>
        <v>-1647672.6</v>
      </c>
      <c r="F20" s="19">
        <f t="shared" si="0"/>
        <v>172282292.40000001</v>
      </c>
    </row>
    <row r="21" spans="1:6" ht="18" hidden="1" x14ac:dyDescent="0.25">
      <c r="A21" s="17" t="s">
        <v>79</v>
      </c>
      <c r="B21" s="19">
        <v>277831939</v>
      </c>
      <c r="C21" s="19">
        <f>24328000</f>
        <v>24328000</v>
      </c>
      <c r="D21" s="19">
        <v>0</v>
      </c>
      <c r="E21" s="19">
        <f>138458312.3-125710623.45</f>
        <v>12747688.850000009</v>
      </c>
      <c r="F21" s="19">
        <f t="shared" si="0"/>
        <v>314907627.85000002</v>
      </c>
    </row>
    <row r="22" spans="1:6" ht="18" hidden="1" x14ac:dyDescent="0.25">
      <c r="A22" s="17" t="s">
        <v>15</v>
      </c>
      <c r="B22" s="19">
        <v>257341142</v>
      </c>
      <c r="C22" s="19">
        <f>87410+3246244</f>
        <v>3333654</v>
      </c>
      <c r="D22" s="19">
        <v>0</v>
      </c>
      <c r="E22" s="19">
        <f>105141.19-7518036.05</f>
        <v>-7412894.8599999994</v>
      </c>
      <c r="F22" s="19">
        <f t="shared" si="0"/>
        <v>253261901.13999999</v>
      </c>
    </row>
    <row r="23" spans="1:6" ht="18" hidden="1" x14ac:dyDescent="0.25">
      <c r="A23" s="17" t="s">
        <v>16</v>
      </c>
      <c r="B23" s="19">
        <v>1488754594</v>
      </c>
      <c r="C23" s="19">
        <f>159900023.99</f>
        <v>159900023.99000001</v>
      </c>
      <c r="D23" s="19">
        <v>0</v>
      </c>
      <c r="E23" s="19">
        <v>0</v>
      </c>
      <c r="F23" s="19">
        <f t="shared" si="0"/>
        <v>1648654617.99</v>
      </c>
    </row>
    <row r="24" spans="1:6" ht="18" hidden="1" x14ac:dyDescent="0.25">
      <c r="A24" s="17" t="s">
        <v>17</v>
      </c>
      <c r="B24" s="19">
        <v>17425487200</v>
      </c>
      <c r="C24" s="19">
        <f>261518676.66+62591512+767143</f>
        <v>324877331.65999997</v>
      </c>
      <c r="D24" s="19">
        <v>0</v>
      </c>
      <c r="E24" s="19">
        <v>0</v>
      </c>
      <c r="F24" s="19">
        <f t="shared" si="0"/>
        <v>17750364531.66</v>
      </c>
    </row>
    <row r="25" spans="1:6" ht="18" hidden="1" x14ac:dyDescent="0.25">
      <c r="A25" s="17" t="s">
        <v>59</v>
      </c>
      <c r="B25" s="19">
        <v>50894608</v>
      </c>
      <c r="C25" s="19">
        <f>677266860.86+551394082</f>
        <v>1228660942.8600001</v>
      </c>
      <c r="D25" s="19">
        <v>843475379.10000002</v>
      </c>
      <c r="E25" s="19">
        <f>1396549676.54-1445652470.35</f>
        <v>-49102793.809999943</v>
      </c>
      <c r="F25" s="19">
        <f t="shared" si="0"/>
        <v>386977377.95000017</v>
      </c>
    </row>
    <row r="26" spans="1:6" ht="18" hidden="1" x14ac:dyDescent="0.25">
      <c r="A26" s="17" t="s">
        <v>18</v>
      </c>
      <c r="B26" s="19">
        <v>3686544221</v>
      </c>
      <c r="C26" s="19">
        <f>325256.49</f>
        <v>325256.49</v>
      </c>
      <c r="D26" s="19">
        <v>1753248</v>
      </c>
      <c r="E26" s="19">
        <f>1195566769.14-1711200673.59</f>
        <v>-515633904.44999981</v>
      </c>
      <c r="F26" s="19">
        <f t="shared" si="0"/>
        <v>3169482325.04</v>
      </c>
    </row>
    <row r="27" spans="1:6" ht="18" hidden="1" x14ac:dyDescent="0.25">
      <c r="A27" s="17" t="s">
        <v>19</v>
      </c>
      <c r="B27" s="19">
        <v>65123064</v>
      </c>
      <c r="C27" s="19">
        <v>0</v>
      </c>
      <c r="D27" s="19">
        <v>0</v>
      </c>
      <c r="E27" s="19">
        <v>0</v>
      </c>
      <c r="F27" s="19">
        <f t="shared" si="0"/>
        <v>65123064</v>
      </c>
    </row>
    <row r="28" spans="1:6" ht="36" hidden="1" x14ac:dyDescent="0.25">
      <c r="A28" s="17" t="s">
        <v>20</v>
      </c>
      <c r="B28" s="19">
        <v>1157606938</v>
      </c>
      <c r="C28" s="19">
        <f>61989030.44+35684606+366483</f>
        <v>98040119.439999998</v>
      </c>
      <c r="D28" s="19">
        <v>0</v>
      </c>
      <c r="E28" s="19">
        <f>-252197.39</f>
        <v>-252197.39</v>
      </c>
      <c r="F28" s="19">
        <f t="shared" si="0"/>
        <v>1255394860.05</v>
      </c>
    </row>
    <row r="29" spans="1:6" ht="18" hidden="1" x14ac:dyDescent="0.25">
      <c r="A29" s="20" t="s">
        <v>21</v>
      </c>
      <c r="B29" s="19">
        <v>69520410</v>
      </c>
      <c r="C29" s="19">
        <v>0</v>
      </c>
      <c r="D29" s="19">
        <v>0</v>
      </c>
      <c r="E29" s="19">
        <v>0</v>
      </c>
      <c r="F29" s="19">
        <f t="shared" si="0"/>
        <v>69520410</v>
      </c>
    </row>
    <row r="30" spans="1:6" ht="18" hidden="1" x14ac:dyDescent="0.25">
      <c r="A30" s="20" t="s">
        <v>22</v>
      </c>
      <c r="B30" s="19">
        <v>91488693</v>
      </c>
      <c r="C30" s="19">
        <v>0</v>
      </c>
      <c r="D30" s="19">
        <v>0</v>
      </c>
      <c r="E30" s="19">
        <f>1440670-1440670</f>
        <v>0</v>
      </c>
      <c r="F30" s="19">
        <f t="shared" si="0"/>
        <v>91488693</v>
      </c>
    </row>
    <row r="31" spans="1:6" ht="18" hidden="1" x14ac:dyDescent="0.25">
      <c r="A31" s="20" t="s">
        <v>23</v>
      </c>
      <c r="B31" s="19">
        <v>31896156</v>
      </c>
      <c r="C31" s="19">
        <v>0</v>
      </c>
      <c r="D31" s="19">
        <v>0</v>
      </c>
      <c r="E31" s="19">
        <v>0</v>
      </c>
      <c r="F31" s="19">
        <f t="shared" si="0"/>
        <v>31896156</v>
      </c>
    </row>
    <row r="32" spans="1:6" ht="18" hidden="1" x14ac:dyDescent="0.25">
      <c r="A32" s="20" t="s">
        <v>24</v>
      </c>
      <c r="B32" s="19">
        <v>56721759</v>
      </c>
      <c r="C32" s="19">
        <v>0</v>
      </c>
      <c r="D32" s="19">
        <v>0</v>
      </c>
      <c r="E32" s="19">
        <v>0</v>
      </c>
      <c r="F32" s="19">
        <f t="shared" si="0"/>
        <v>56721759</v>
      </c>
    </row>
    <row r="33" spans="1:6" ht="30" hidden="1" customHeight="1" x14ac:dyDescent="0.25">
      <c r="A33" s="20" t="s">
        <v>25</v>
      </c>
      <c r="B33" s="19">
        <v>3706917122</v>
      </c>
      <c r="C33" s="19">
        <f>1603450.73+100000000</f>
        <v>101603450.73</v>
      </c>
      <c r="D33" s="19">
        <v>0</v>
      </c>
      <c r="E33" s="19">
        <v>0</v>
      </c>
      <c r="F33" s="19">
        <f t="shared" si="0"/>
        <v>3808520572.73</v>
      </c>
    </row>
    <row r="34" spans="1:6" ht="36" hidden="1" x14ac:dyDescent="0.25">
      <c r="A34" s="20" t="s">
        <v>26</v>
      </c>
      <c r="B34" s="19">
        <v>1164471477</v>
      </c>
      <c r="C34" s="19">
        <f>7567592</f>
        <v>7567592</v>
      </c>
      <c r="D34" s="19">
        <v>0</v>
      </c>
      <c r="E34" s="19">
        <f>-18533147.72</f>
        <v>-18533147.719999999</v>
      </c>
      <c r="F34" s="19">
        <f t="shared" si="0"/>
        <v>1153505921.28</v>
      </c>
    </row>
    <row r="35" spans="1:6" ht="18" hidden="1" x14ac:dyDescent="0.25">
      <c r="A35" s="20" t="s">
        <v>27</v>
      </c>
      <c r="B35" s="19">
        <v>700000000</v>
      </c>
      <c r="C35" s="19">
        <v>70000000</v>
      </c>
      <c r="D35" s="19">
        <v>0</v>
      </c>
      <c r="E35" s="19">
        <v>0</v>
      </c>
      <c r="F35" s="19">
        <f t="shared" si="0"/>
        <v>770000000</v>
      </c>
    </row>
    <row r="36" spans="1:6" ht="18" hidden="1" x14ac:dyDescent="0.25">
      <c r="A36" s="20" t="s">
        <v>28</v>
      </c>
      <c r="B36" s="19">
        <v>107004357</v>
      </c>
      <c r="C36" s="19">
        <v>0</v>
      </c>
      <c r="D36" s="19">
        <v>0</v>
      </c>
      <c r="E36" s="19">
        <v>0</v>
      </c>
      <c r="F36" s="19">
        <f t="shared" si="0"/>
        <v>107004357</v>
      </c>
    </row>
    <row r="37" spans="1:6" ht="36" hidden="1" x14ac:dyDescent="0.25">
      <c r="A37" s="20" t="s">
        <v>29</v>
      </c>
      <c r="B37" s="19">
        <v>148141193</v>
      </c>
      <c r="C37" s="19">
        <v>0</v>
      </c>
      <c r="D37" s="19">
        <v>0</v>
      </c>
      <c r="E37" s="19">
        <v>0</v>
      </c>
      <c r="F37" s="19">
        <f t="shared" si="0"/>
        <v>148141193</v>
      </c>
    </row>
    <row r="38" spans="1:6" ht="18" hidden="1" x14ac:dyDescent="0.25">
      <c r="A38" s="20" t="s">
        <v>30</v>
      </c>
      <c r="B38" s="19">
        <v>19256068</v>
      </c>
      <c r="C38" s="19">
        <v>0</v>
      </c>
      <c r="D38" s="19">
        <v>0</v>
      </c>
      <c r="E38" s="19">
        <v>0</v>
      </c>
      <c r="F38" s="19">
        <f t="shared" si="0"/>
        <v>19256068</v>
      </c>
    </row>
    <row r="39" spans="1:6" ht="36" hidden="1" x14ac:dyDescent="0.25">
      <c r="A39" s="20" t="s">
        <v>66</v>
      </c>
      <c r="B39" s="19">
        <v>15308661</v>
      </c>
      <c r="C39" s="19">
        <v>0</v>
      </c>
      <c r="D39" s="19">
        <v>0</v>
      </c>
      <c r="E39" s="19">
        <f>84520.49-523304.8</f>
        <v>-438784.31</v>
      </c>
      <c r="F39" s="19">
        <f t="shared" si="0"/>
        <v>14869876.689999999</v>
      </c>
    </row>
    <row r="40" spans="1:6" ht="18" hidden="1" x14ac:dyDescent="0.25">
      <c r="A40" s="20" t="s">
        <v>31</v>
      </c>
      <c r="B40" s="19">
        <v>201725662</v>
      </c>
      <c r="C40" s="19">
        <v>0</v>
      </c>
      <c r="D40" s="19">
        <v>0</v>
      </c>
      <c r="E40" s="19">
        <v>0</v>
      </c>
      <c r="F40" s="19">
        <f t="shared" si="0"/>
        <v>201725662</v>
      </c>
    </row>
    <row r="41" spans="1:6" ht="18" hidden="1" x14ac:dyDescent="0.25">
      <c r="A41" s="20" t="s">
        <v>32</v>
      </c>
      <c r="B41" s="19">
        <v>43432178</v>
      </c>
      <c r="C41" s="19">
        <v>0</v>
      </c>
      <c r="D41" s="19">
        <v>0</v>
      </c>
      <c r="E41" s="19">
        <v>0</v>
      </c>
      <c r="F41" s="19">
        <f t="shared" si="0"/>
        <v>43432178</v>
      </c>
    </row>
    <row r="42" spans="1:6" ht="18" hidden="1" x14ac:dyDescent="0.25">
      <c r="A42" s="20" t="s">
        <v>33</v>
      </c>
      <c r="B42" s="19">
        <v>175877064</v>
      </c>
      <c r="C42" s="19">
        <f>1896000+7045794</f>
        <v>8941794</v>
      </c>
      <c r="D42" s="19">
        <v>0</v>
      </c>
      <c r="E42" s="19">
        <v>0</v>
      </c>
      <c r="F42" s="19">
        <f t="shared" si="0"/>
        <v>184818858</v>
      </c>
    </row>
    <row r="43" spans="1:6" ht="18" hidden="1" x14ac:dyDescent="0.25">
      <c r="A43" s="20" t="s">
        <v>34</v>
      </c>
      <c r="B43" s="19">
        <v>82935476</v>
      </c>
      <c r="C43" s="19">
        <f>28056316.8</f>
        <v>28056316.800000001</v>
      </c>
      <c r="D43" s="19">
        <v>0</v>
      </c>
      <c r="E43" s="19">
        <f>7414306-1769182</f>
        <v>5645124</v>
      </c>
      <c r="F43" s="19">
        <f t="shared" si="0"/>
        <v>116636916.8</v>
      </c>
    </row>
    <row r="44" spans="1:6" ht="36" hidden="1" x14ac:dyDescent="0.25">
      <c r="A44" s="20" t="s">
        <v>35</v>
      </c>
      <c r="B44" s="19">
        <v>1485507162</v>
      </c>
      <c r="C44" s="19">
        <f>10000000</f>
        <v>10000000</v>
      </c>
      <c r="D44" s="19">
        <v>0</v>
      </c>
      <c r="E44" s="19">
        <v>0</v>
      </c>
      <c r="F44" s="19">
        <f t="shared" si="0"/>
        <v>1495507162</v>
      </c>
    </row>
    <row r="45" spans="1:6" ht="36" hidden="1" x14ac:dyDescent="0.25">
      <c r="A45" s="20" t="s">
        <v>36</v>
      </c>
      <c r="B45" s="19">
        <v>353370540</v>
      </c>
      <c r="C45" s="19">
        <f>22277857.72</f>
        <v>22277857.719999999</v>
      </c>
      <c r="D45" s="19">
        <v>0</v>
      </c>
      <c r="E45" s="19">
        <v>0</v>
      </c>
      <c r="F45" s="19">
        <f t="shared" si="0"/>
        <v>375648397.72000003</v>
      </c>
    </row>
    <row r="46" spans="1:6" ht="18" hidden="1" x14ac:dyDescent="0.25">
      <c r="A46" s="20" t="s">
        <v>37</v>
      </c>
      <c r="B46" s="19">
        <v>87293931</v>
      </c>
      <c r="C46" s="19">
        <f>35787872+2988750</f>
        <v>38776622</v>
      </c>
      <c r="D46" s="19">
        <v>0</v>
      </c>
      <c r="E46" s="19">
        <v>0</v>
      </c>
      <c r="F46" s="19">
        <f t="shared" si="0"/>
        <v>126070553</v>
      </c>
    </row>
    <row r="47" spans="1:6" ht="36" hidden="1" x14ac:dyDescent="0.25">
      <c r="A47" s="20" t="s">
        <v>38</v>
      </c>
      <c r="B47" s="19">
        <v>1089740464</v>
      </c>
      <c r="C47" s="19">
        <f>31045688+20000000</f>
        <v>51045688</v>
      </c>
      <c r="D47" s="19">
        <v>0</v>
      </c>
      <c r="E47" s="19">
        <v>0</v>
      </c>
      <c r="F47" s="19">
        <f t="shared" si="0"/>
        <v>1140786152</v>
      </c>
    </row>
    <row r="48" spans="1:6" ht="36" hidden="1" x14ac:dyDescent="0.25">
      <c r="A48" s="20" t="s">
        <v>39</v>
      </c>
      <c r="B48" s="19">
        <v>240487334</v>
      </c>
      <c r="C48" s="19">
        <f>3409102.64</f>
        <v>3409102.64</v>
      </c>
      <c r="D48" s="19">
        <v>0</v>
      </c>
      <c r="E48" s="19">
        <v>0</v>
      </c>
      <c r="F48" s="19">
        <f t="shared" si="0"/>
        <v>243896436.63999999</v>
      </c>
    </row>
    <row r="49" spans="1:6" ht="36" hidden="1" x14ac:dyDescent="0.25">
      <c r="A49" s="20" t="s">
        <v>40</v>
      </c>
      <c r="B49" s="19">
        <v>96903854</v>
      </c>
      <c r="C49" s="19">
        <f>54696+774000</f>
        <v>828696</v>
      </c>
      <c r="D49" s="19">
        <v>0</v>
      </c>
      <c r="E49" s="19">
        <v>0</v>
      </c>
      <c r="F49" s="19">
        <f t="shared" si="0"/>
        <v>97732550</v>
      </c>
    </row>
    <row r="50" spans="1:6" ht="36" hidden="1" x14ac:dyDescent="0.25">
      <c r="A50" s="20" t="s">
        <v>41</v>
      </c>
      <c r="B50" s="19">
        <v>16314506</v>
      </c>
      <c r="C50" s="19">
        <v>0</v>
      </c>
      <c r="D50" s="19">
        <v>0</v>
      </c>
      <c r="E50" s="19">
        <v>0</v>
      </c>
      <c r="F50" s="19">
        <f t="shared" si="0"/>
        <v>16314506</v>
      </c>
    </row>
    <row r="51" spans="1:6" ht="18" hidden="1" x14ac:dyDescent="0.25">
      <c r="A51" s="20" t="s">
        <v>42</v>
      </c>
      <c r="B51" s="19">
        <v>54882406</v>
      </c>
      <c r="C51" s="19">
        <f>9892420</f>
        <v>9892420</v>
      </c>
      <c r="D51" s="19">
        <v>0</v>
      </c>
      <c r="E51" s="19">
        <v>0</v>
      </c>
      <c r="F51" s="19">
        <f t="shared" si="0"/>
        <v>64774826</v>
      </c>
    </row>
    <row r="52" spans="1:6" ht="18" hidden="1" x14ac:dyDescent="0.25">
      <c r="A52" s="20" t="s">
        <v>67</v>
      </c>
      <c r="B52" s="19">
        <v>24787913</v>
      </c>
      <c r="C52" s="19">
        <f>413334.6</f>
        <v>413334.6</v>
      </c>
      <c r="D52" s="19">
        <v>0</v>
      </c>
      <c r="E52" s="19">
        <f>-658566.01</f>
        <v>-658566.01</v>
      </c>
      <c r="F52" s="19">
        <f t="shared" si="0"/>
        <v>24542681.59</v>
      </c>
    </row>
    <row r="53" spans="1:6" ht="36" hidden="1" x14ac:dyDescent="0.25">
      <c r="A53" s="20" t="s">
        <v>43</v>
      </c>
      <c r="B53" s="19">
        <v>5498392</v>
      </c>
      <c r="C53" s="19">
        <v>0</v>
      </c>
      <c r="D53" s="19">
        <v>0</v>
      </c>
      <c r="E53" s="19">
        <f>-1000</f>
        <v>-1000</v>
      </c>
      <c r="F53" s="19">
        <f t="shared" si="0"/>
        <v>5497392</v>
      </c>
    </row>
    <row r="54" spans="1:6" ht="18" hidden="1" x14ac:dyDescent="0.25">
      <c r="A54" s="20" t="s">
        <v>68</v>
      </c>
      <c r="B54" s="19">
        <v>73400359</v>
      </c>
      <c r="C54" s="19">
        <f>5775357.96</f>
        <v>5775357.96</v>
      </c>
      <c r="D54" s="19">
        <v>0</v>
      </c>
      <c r="E54" s="19">
        <f>-1499769.18</f>
        <v>-1499769.18</v>
      </c>
      <c r="F54" s="19">
        <f t="shared" si="0"/>
        <v>77675947.779999986</v>
      </c>
    </row>
    <row r="55" spans="1:6" ht="36" hidden="1" x14ac:dyDescent="0.25">
      <c r="A55" s="20" t="s">
        <v>69</v>
      </c>
      <c r="B55" s="19">
        <v>12837772</v>
      </c>
      <c r="C55" s="19">
        <f>964117</f>
        <v>964117</v>
      </c>
      <c r="D55" s="19">
        <v>0</v>
      </c>
      <c r="E55" s="19">
        <v>-2</v>
      </c>
      <c r="F55" s="19">
        <f t="shared" si="0"/>
        <v>13801887</v>
      </c>
    </row>
    <row r="56" spans="1:6" ht="36" hidden="1" x14ac:dyDescent="0.25">
      <c r="A56" s="20" t="s">
        <v>74</v>
      </c>
      <c r="B56" s="19">
        <v>108805145</v>
      </c>
      <c r="C56" s="19">
        <v>0</v>
      </c>
      <c r="D56" s="19">
        <v>0</v>
      </c>
      <c r="E56" s="19">
        <v>0</v>
      </c>
      <c r="F56" s="19">
        <f t="shared" si="0"/>
        <v>108805145</v>
      </c>
    </row>
    <row r="57" spans="1:6" ht="36" x14ac:dyDescent="0.25">
      <c r="A57" s="20" t="s">
        <v>70</v>
      </c>
      <c r="B57" s="19">
        <v>27750718</v>
      </c>
      <c r="C57" s="19">
        <v>0</v>
      </c>
      <c r="D57" s="19">
        <v>0</v>
      </c>
      <c r="E57" s="19">
        <v>0</v>
      </c>
      <c r="F57" s="19">
        <f t="shared" si="0"/>
        <v>27750718</v>
      </c>
    </row>
    <row r="58" spans="1:6" ht="54" x14ac:dyDescent="0.25">
      <c r="A58" s="20" t="s">
        <v>44</v>
      </c>
      <c r="B58" s="19">
        <v>46240695</v>
      </c>
      <c r="C58" s="19">
        <v>0</v>
      </c>
      <c r="D58" s="19">
        <v>0</v>
      </c>
      <c r="E58" s="19">
        <v>0</v>
      </c>
      <c r="F58" s="19">
        <f t="shared" si="0"/>
        <v>46240695</v>
      </c>
    </row>
    <row r="59" spans="1:6" ht="36" x14ac:dyDescent="0.25">
      <c r="A59" s="20" t="s">
        <v>64</v>
      </c>
      <c r="B59" s="19">
        <v>73726492</v>
      </c>
      <c r="C59" s="19">
        <f>2250000</f>
        <v>2250000</v>
      </c>
      <c r="D59" s="19">
        <v>0</v>
      </c>
      <c r="E59" s="19">
        <f>1481795-1701061.19</f>
        <v>-219266.18999999994</v>
      </c>
      <c r="F59" s="19">
        <f t="shared" si="0"/>
        <v>75757225.810000002</v>
      </c>
    </row>
    <row r="60" spans="1:6" ht="36" x14ac:dyDescent="0.25">
      <c r="A60" s="20" t="s">
        <v>45</v>
      </c>
      <c r="B60" s="19">
        <v>598179471</v>
      </c>
      <c r="C60" s="19">
        <f>1959991.91+59081296.53+10000000+25184413.81</f>
        <v>96225702.25</v>
      </c>
      <c r="D60" s="19">
        <v>0</v>
      </c>
      <c r="E60" s="19">
        <v>0</v>
      </c>
      <c r="F60" s="19">
        <f t="shared" si="0"/>
        <v>694405173.25</v>
      </c>
    </row>
    <row r="61" spans="1:6" ht="18" x14ac:dyDescent="0.25">
      <c r="A61" s="20" t="s">
        <v>46</v>
      </c>
      <c r="B61" s="19">
        <v>29251056</v>
      </c>
      <c r="C61" s="19">
        <v>0</v>
      </c>
      <c r="D61" s="19">
        <v>0</v>
      </c>
      <c r="E61" s="19">
        <f>49000-49000</f>
        <v>0</v>
      </c>
      <c r="F61" s="19">
        <f t="shared" si="0"/>
        <v>29251056</v>
      </c>
    </row>
    <row r="62" spans="1:6" ht="18" x14ac:dyDescent="0.25">
      <c r="A62" s="20" t="s">
        <v>47</v>
      </c>
      <c r="B62" s="19">
        <v>11424716</v>
      </c>
      <c r="C62" s="19">
        <f>2769542</f>
        <v>2769542</v>
      </c>
      <c r="D62" s="19">
        <v>0</v>
      </c>
      <c r="E62" s="19">
        <v>0</v>
      </c>
      <c r="F62" s="19">
        <f t="shared" si="0"/>
        <v>14194258</v>
      </c>
    </row>
    <row r="63" spans="1:6" ht="36" x14ac:dyDescent="0.25">
      <c r="A63" s="20" t="s">
        <v>60</v>
      </c>
      <c r="B63" s="19">
        <v>13160384</v>
      </c>
      <c r="C63" s="19">
        <f>2341462.33</f>
        <v>2341462.33</v>
      </c>
      <c r="D63" s="19">
        <v>0</v>
      </c>
      <c r="E63" s="19">
        <v>0</v>
      </c>
      <c r="F63" s="19">
        <f t="shared" si="0"/>
        <v>15501846.33</v>
      </c>
    </row>
    <row r="64" spans="1:6" ht="36" x14ac:dyDescent="0.25">
      <c r="A64" s="20" t="s">
        <v>48</v>
      </c>
      <c r="B64" s="19">
        <v>114451733</v>
      </c>
      <c r="C64" s="19">
        <v>0</v>
      </c>
      <c r="D64" s="19">
        <v>0</v>
      </c>
      <c r="E64" s="19">
        <f>2039906-2039906</f>
        <v>0</v>
      </c>
      <c r="F64" s="19">
        <f t="shared" si="0"/>
        <v>114451733</v>
      </c>
    </row>
    <row r="65" spans="1:6" ht="54" x14ac:dyDescent="0.25">
      <c r="A65" s="21" t="s">
        <v>75</v>
      </c>
      <c r="B65" s="19">
        <v>40037124</v>
      </c>
      <c r="C65" s="19">
        <v>0</v>
      </c>
      <c r="D65" s="19">
        <v>0</v>
      </c>
      <c r="E65" s="19">
        <v>0</v>
      </c>
      <c r="F65" s="19">
        <f t="shared" ref="F65:F87" si="1">B65+C65-D65+E65</f>
        <v>40037124</v>
      </c>
    </row>
    <row r="66" spans="1:6" ht="36" x14ac:dyDescent="0.25">
      <c r="A66" s="20" t="s">
        <v>49</v>
      </c>
      <c r="B66" s="19">
        <v>66613695</v>
      </c>
      <c r="C66" s="19">
        <f>1936962.37</f>
        <v>1936962.37</v>
      </c>
      <c r="D66" s="19">
        <v>0</v>
      </c>
      <c r="E66" s="19">
        <f>1826457.97</f>
        <v>1826457.97</v>
      </c>
      <c r="F66" s="19">
        <f t="shared" si="1"/>
        <v>70377115.340000004</v>
      </c>
    </row>
    <row r="67" spans="1:6" ht="36" x14ac:dyDescent="0.25">
      <c r="A67" s="20" t="s">
        <v>71</v>
      </c>
      <c r="B67" s="19">
        <v>25660374</v>
      </c>
      <c r="C67" s="19">
        <v>0</v>
      </c>
      <c r="D67" s="19">
        <v>0</v>
      </c>
      <c r="E67" s="19">
        <f>1542931.04-2195836</f>
        <v>-652904.95999999996</v>
      </c>
      <c r="F67" s="19">
        <f t="shared" si="1"/>
        <v>25007469.039999999</v>
      </c>
    </row>
    <row r="68" spans="1:6" ht="36" x14ac:dyDescent="0.25">
      <c r="A68" s="20" t="s">
        <v>50</v>
      </c>
      <c r="B68" s="19">
        <v>60768616</v>
      </c>
      <c r="C68" s="19">
        <v>0</v>
      </c>
      <c r="D68" s="19">
        <v>0</v>
      </c>
      <c r="E68" s="19">
        <f>3266111-3366392.27</f>
        <v>-100281.27000000002</v>
      </c>
      <c r="F68" s="19">
        <f t="shared" si="1"/>
        <v>60668334.729999997</v>
      </c>
    </row>
    <row r="69" spans="1:6" ht="18" x14ac:dyDescent="0.25">
      <c r="A69" s="20" t="s">
        <v>58</v>
      </c>
      <c r="B69" s="19">
        <v>38782704</v>
      </c>
      <c r="C69" s="19">
        <v>0</v>
      </c>
      <c r="D69" s="19">
        <v>0</v>
      </c>
      <c r="E69" s="19">
        <v>0</v>
      </c>
      <c r="F69" s="19">
        <f t="shared" si="1"/>
        <v>38782704</v>
      </c>
    </row>
    <row r="70" spans="1:6" ht="36" x14ac:dyDescent="0.25">
      <c r="A70" s="20" t="s">
        <v>51</v>
      </c>
      <c r="B70" s="19">
        <v>65306806</v>
      </c>
      <c r="C70" s="19">
        <f>38689594.51</f>
        <v>38689594.509999998</v>
      </c>
      <c r="D70" s="19">
        <v>0</v>
      </c>
      <c r="E70" s="19">
        <f>306000-3968731.47</f>
        <v>-3662731.47</v>
      </c>
      <c r="F70" s="19">
        <f t="shared" si="1"/>
        <v>100333669.03999999</v>
      </c>
    </row>
    <row r="71" spans="1:6" ht="36" x14ac:dyDescent="0.25">
      <c r="A71" s="20" t="s">
        <v>72</v>
      </c>
      <c r="B71" s="19">
        <v>12094797</v>
      </c>
      <c r="C71" s="19">
        <f>23723707.72</f>
        <v>23723707.719999999</v>
      </c>
      <c r="D71" s="19">
        <v>0</v>
      </c>
      <c r="E71" s="19">
        <v>0</v>
      </c>
      <c r="F71" s="19">
        <f t="shared" si="1"/>
        <v>35818504.719999999</v>
      </c>
    </row>
    <row r="72" spans="1:6" ht="54" x14ac:dyDescent="0.25">
      <c r="A72" s="21" t="s">
        <v>57</v>
      </c>
      <c r="B72" s="19">
        <v>10743575</v>
      </c>
      <c r="C72" s="19">
        <v>0</v>
      </c>
      <c r="D72" s="19">
        <v>0</v>
      </c>
      <c r="E72" s="19">
        <f>15000-163679.84</f>
        <v>-148679.84</v>
      </c>
      <c r="F72" s="19">
        <f t="shared" si="1"/>
        <v>10594895.16</v>
      </c>
    </row>
    <row r="73" spans="1:6" ht="36" x14ac:dyDescent="0.25">
      <c r="A73" s="21" t="s">
        <v>52</v>
      </c>
      <c r="B73" s="19">
        <v>12633811</v>
      </c>
      <c r="C73" s="19">
        <v>0</v>
      </c>
      <c r="D73" s="19">
        <v>0</v>
      </c>
      <c r="E73" s="19">
        <v>0</v>
      </c>
      <c r="F73" s="19">
        <f t="shared" si="1"/>
        <v>12633811</v>
      </c>
    </row>
    <row r="74" spans="1:6" ht="36" x14ac:dyDescent="0.25">
      <c r="A74" s="21" t="s">
        <v>56</v>
      </c>
      <c r="B74" s="19">
        <v>1485442757</v>
      </c>
      <c r="C74" s="19">
        <v>0</v>
      </c>
      <c r="D74" s="19">
        <v>0</v>
      </c>
      <c r="E74" s="19">
        <f>3597766.37-32324849.92</f>
        <v>-28727083.550000001</v>
      </c>
      <c r="F74" s="19">
        <f t="shared" si="1"/>
        <v>1456715673.45</v>
      </c>
    </row>
    <row r="75" spans="1:6" ht="36" x14ac:dyDescent="0.25">
      <c r="A75" s="21" t="s">
        <v>73</v>
      </c>
      <c r="B75" s="19">
        <v>10581906</v>
      </c>
      <c r="C75" s="19">
        <f>2773758+1386879</f>
        <v>4160637</v>
      </c>
      <c r="D75" s="19">
        <v>0</v>
      </c>
      <c r="E75" s="19">
        <v>0</v>
      </c>
      <c r="F75" s="19">
        <f t="shared" si="1"/>
        <v>14742543</v>
      </c>
    </row>
    <row r="76" spans="1:6" ht="36" x14ac:dyDescent="0.25">
      <c r="A76" s="21" t="s">
        <v>61</v>
      </c>
      <c r="B76" s="19">
        <v>21713384</v>
      </c>
      <c r="C76" s="19">
        <v>0</v>
      </c>
      <c r="D76" s="19">
        <v>0</v>
      </c>
      <c r="E76" s="19">
        <v>0</v>
      </c>
      <c r="F76" s="19">
        <f t="shared" si="1"/>
        <v>21713384</v>
      </c>
    </row>
    <row r="77" spans="1:6" ht="18" x14ac:dyDescent="0.25">
      <c r="A77" s="21" t="s">
        <v>62</v>
      </c>
      <c r="B77" s="19">
        <v>3215274</v>
      </c>
      <c r="C77" s="19">
        <v>0</v>
      </c>
      <c r="D77" s="19">
        <v>0</v>
      </c>
      <c r="E77" s="19">
        <f>96082.99-505000</f>
        <v>-408917.01</v>
      </c>
      <c r="F77" s="19">
        <f t="shared" si="1"/>
        <v>2806356.99</v>
      </c>
    </row>
    <row r="78" spans="1:6" ht="36" x14ac:dyDescent="0.25">
      <c r="A78" s="21" t="s">
        <v>76</v>
      </c>
      <c r="B78" s="19">
        <v>200724871</v>
      </c>
      <c r="C78" s="19">
        <f>3160032.69+481383.64</f>
        <v>3641416.33</v>
      </c>
      <c r="D78" s="19">
        <v>0</v>
      </c>
      <c r="E78" s="19">
        <f>-308213.19</f>
        <v>-308213.19</v>
      </c>
      <c r="F78" s="19">
        <f t="shared" si="1"/>
        <v>204058074.14000002</v>
      </c>
    </row>
    <row r="79" spans="1:6" ht="18" x14ac:dyDescent="0.25">
      <c r="A79" s="21" t="s">
        <v>80</v>
      </c>
      <c r="B79" s="19">
        <v>1055910296</v>
      </c>
      <c r="C79" s="19">
        <f>245098874.36+44037942.16</f>
        <v>289136816.51999998</v>
      </c>
      <c r="D79" s="19">
        <v>0</v>
      </c>
      <c r="E79" s="19">
        <f>739300.19-4763370</f>
        <v>-4024069.81</v>
      </c>
      <c r="F79" s="19">
        <f t="shared" si="1"/>
        <v>1341023042.71</v>
      </c>
    </row>
    <row r="80" spans="1:6" ht="18" x14ac:dyDescent="0.25">
      <c r="A80" s="21" t="s">
        <v>81</v>
      </c>
      <c r="B80" s="19">
        <v>92215397</v>
      </c>
      <c r="C80" s="19">
        <f>16250000</f>
        <v>16250000</v>
      </c>
      <c r="D80" s="19">
        <v>0</v>
      </c>
      <c r="E80" s="19">
        <f>224089.58-3297529.5</f>
        <v>-3073439.92</v>
      </c>
      <c r="F80" s="19">
        <f t="shared" si="1"/>
        <v>105391957.08</v>
      </c>
    </row>
    <row r="81" spans="1:6" ht="18" x14ac:dyDescent="0.25">
      <c r="A81" s="21" t="s">
        <v>86</v>
      </c>
      <c r="B81" s="19">
        <v>25715561</v>
      </c>
      <c r="C81" s="19">
        <v>0</v>
      </c>
      <c r="D81" s="19">
        <v>0</v>
      </c>
      <c r="E81" s="19">
        <v>-350316.62</v>
      </c>
      <c r="F81" s="19">
        <f t="shared" ref="F81" si="2">B81+C81-D81+E81</f>
        <v>25365244.379999999</v>
      </c>
    </row>
    <row r="82" spans="1:6" ht="36" x14ac:dyDescent="0.25">
      <c r="A82" s="21" t="s">
        <v>88</v>
      </c>
      <c r="B82" s="19">
        <v>427151946</v>
      </c>
      <c r="C82" s="19">
        <f>20103353.63+1641504</f>
        <v>21744857.629999999</v>
      </c>
      <c r="D82" s="19">
        <v>0</v>
      </c>
      <c r="E82" s="19">
        <f>23029430.98-2432</f>
        <v>23026998.98</v>
      </c>
      <c r="F82" s="19">
        <f t="shared" si="1"/>
        <v>471923802.61000001</v>
      </c>
    </row>
    <row r="83" spans="1:6" ht="36" x14ac:dyDescent="0.25">
      <c r="A83" s="21" t="s">
        <v>84</v>
      </c>
      <c r="B83" s="19">
        <v>36458554</v>
      </c>
      <c r="C83" s="19">
        <v>0</v>
      </c>
      <c r="D83" s="19">
        <v>0</v>
      </c>
      <c r="E83" s="19">
        <f>-21817.6</f>
        <v>-21817.599999999999</v>
      </c>
      <c r="F83" s="19">
        <f t="shared" si="1"/>
        <v>36436736.399999999</v>
      </c>
    </row>
    <row r="84" spans="1:6" ht="36" x14ac:dyDescent="0.25">
      <c r="A84" s="21" t="s">
        <v>87</v>
      </c>
      <c r="B84" s="19">
        <v>7100000</v>
      </c>
      <c r="C84" s="19">
        <v>0</v>
      </c>
      <c r="D84" s="19">
        <v>0</v>
      </c>
      <c r="E84" s="19">
        <v>0</v>
      </c>
      <c r="F84" s="19">
        <f t="shared" si="1"/>
        <v>7100000</v>
      </c>
    </row>
    <row r="85" spans="1:6" ht="36" x14ac:dyDescent="0.25">
      <c r="A85" s="21" t="s">
        <v>89</v>
      </c>
      <c r="B85" s="19">
        <v>731561609</v>
      </c>
      <c r="C85" s="19">
        <f>1869489.67</f>
        <v>1869489.67</v>
      </c>
      <c r="D85" s="19">
        <v>0</v>
      </c>
      <c r="E85" s="19">
        <f>34311226.56-55228892.16</f>
        <v>-20917665.599999994</v>
      </c>
      <c r="F85" s="19">
        <f t="shared" si="1"/>
        <v>712513433.06999993</v>
      </c>
    </row>
    <row r="86" spans="1:6" ht="36" x14ac:dyDescent="0.25">
      <c r="A86" s="21" t="s">
        <v>90</v>
      </c>
      <c r="B86" s="19">
        <v>72256940</v>
      </c>
      <c r="C86" s="19">
        <f>2146198.61</f>
        <v>2146198.61</v>
      </c>
      <c r="D86" s="19">
        <v>0</v>
      </c>
      <c r="E86" s="19">
        <f>68885.2-1839049.46</f>
        <v>-1770164.26</v>
      </c>
      <c r="F86" s="19">
        <f t="shared" si="1"/>
        <v>72632974.349999994</v>
      </c>
    </row>
    <row r="87" spans="1:6" ht="18.75" thickBot="1" x14ac:dyDescent="0.3">
      <c r="A87" s="22" t="s">
        <v>63</v>
      </c>
      <c r="B87" s="23">
        <v>1566662656</v>
      </c>
      <c r="C87" s="23">
        <f>618048</f>
        <v>618048</v>
      </c>
      <c r="D87" s="23">
        <v>0</v>
      </c>
      <c r="E87" s="23">
        <v>0</v>
      </c>
      <c r="F87" s="23">
        <f t="shared" si="1"/>
        <v>1567280704</v>
      </c>
    </row>
    <row r="88" spans="1:6" ht="18.75" thickBot="1" x14ac:dyDescent="0.3">
      <c r="A88" s="16" t="s">
        <v>55</v>
      </c>
      <c r="B88" s="16">
        <f>SUM(B7:B87)</f>
        <v>95471978325</v>
      </c>
      <c r="C88" s="16">
        <f>SUM(C7:C87)</f>
        <v>7109671085.539999</v>
      </c>
      <c r="D88" s="16">
        <f>SUM(D7:D87)</f>
        <v>892074941.10000002</v>
      </c>
      <c r="E88" s="16">
        <f>SUM(E7:E87)</f>
        <v>1.6554258763790131E-7</v>
      </c>
      <c r="F88" s="16">
        <f>SUM(F7:F87)</f>
        <v>101689574469.43999</v>
      </c>
    </row>
    <row r="89" spans="1:6" x14ac:dyDescent="0.25">
      <c r="A89" s="6"/>
      <c r="B89" s="7"/>
      <c r="C89" s="7"/>
      <c r="D89" s="2"/>
    </row>
    <row r="90" spans="1:6" x14ac:dyDescent="0.25">
      <c r="C90" s="4"/>
      <c r="F90" s="3"/>
    </row>
    <row r="91" spans="1:6" x14ac:dyDescent="0.25">
      <c r="C91" s="4"/>
    </row>
    <row r="92" spans="1:6" x14ac:dyDescent="0.25">
      <c r="C92" s="5"/>
    </row>
  </sheetData>
  <mergeCells count="7">
    <mergeCell ref="A89:C89"/>
    <mergeCell ref="A1:F1"/>
    <mergeCell ref="A2:F2"/>
    <mergeCell ref="A3:F3"/>
    <mergeCell ref="A4:F4"/>
    <mergeCell ref="A5:A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</vt:lpstr>
      <vt:lpstr>'CUADRO '!Área_de_impresión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Suelem Janeth González Rodríguez</cp:lastModifiedBy>
  <cp:lastPrinted>2024-11-08T00:41:13Z</cp:lastPrinted>
  <dcterms:created xsi:type="dcterms:W3CDTF">2017-04-10T23:52:00Z</dcterms:created>
  <dcterms:modified xsi:type="dcterms:W3CDTF">2024-11-08T00:49:47Z</dcterms:modified>
</cp:coreProperties>
</file>